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Richard\Dropbox\Courts\"/>
    </mc:Choice>
  </mc:AlternateContent>
  <xr:revisionPtr revIDLastSave="0" documentId="13_ncr:1_{8DEC276D-BF39-4665-AB74-3748ACDA64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 Cash" sheetId="1" r:id="rId1"/>
    <sheet name="Cap,Op,Tota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K15" i="1"/>
  <c r="L15" i="1"/>
  <c r="M15" i="1"/>
  <c r="N15" i="1"/>
  <c r="O15" i="1"/>
  <c r="P15" i="1"/>
  <c r="Q15" i="1"/>
  <c r="Q17" i="3" s="1"/>
  <c r="F15" i="1"/>
  <c r="L9" i="1"/>
  <c r="M9" i="1"/>
  <c r="N9" i="1"/>
  <c r="O9" i="1"/>
  <c r="P9" i="1"/>
  <c r="Q9" i="1"/>
  <c r="K9" i="1"/>
  <c r="J9" i="1"/>
  <c r="I9" i="1"/>
  <c r="H9" i="1"/>
  <c r="G9" i="1"/>
  <c r="F9" i="1"/>
  <c r="Q31" i="1"/>
  <c r="Q21" i="3" s="1"/>
  <c r="Q7" i="1"/>
  <c r="F7" i="1"/>
  <c r="E12" i="3"/>
  <c r="E29" i="3" s="1"/>
  <c r="F12" i="3"/>
  <c r="D12" i="3"/>
  <c r="D29" i="3" s="1"/>
  <c r="F10" i="1" l="1"/>
  <c r="F15" i="3" s="1"/>
  <c r="J10" i="1"/>
  <c r="J15" i="3" s="1"/>
  <c r="G10" i="1"/>
  <c r="G15" i="3" s="1"/>
  <c r="Q10" i="1"/>
  <c r="Q15" i="3" s="1"/>
  <c r="E31" i="3"/>
  <c r="Q23" i="1"/>
  <c r="Q24" i="1" s="1"/>
  <c r="Q25" i="1" s="1"/>
  <c r="F35" i="3"/>
  <c r="L7" i="1"/>
  <c r="L10" i="1" s="1"/>
  <c r="L15" i="3" s="1"/>
  <c r="M7" i="1"/>
  <c r="M10" i="1" s="1"/>
  <c r="M15" i="3" s="1"/>
  <c r="N7" i="1"/>
  <c r="N10" i="1" s="1"/>
  <c r="N15" i="3" s="1"/>
  <c r="O7" i="1"/>
  <c r="O10" i="1" s="1"/>
  <c r="O15" i="3" s="1"/>
  <c r="K7" i="1"/>
  <c r="K10" i="1" s="1"/>
  <c r="K15" i="3" s="1"/>
  <c r="H7" i="1"/>
  <c r="H10" i="1" s="1"/>
  <c r="I7" i="1"/>
  <c r="I10" i="1" s="1"/>
  <c r="I15" i="3" s="1"/>
  <c r="J7" i="1"/>
  <c r="G7" i="1"/>
  <c r="W21" i="3"/>
  <c r="X21" i="3" s="1"/>
  <c r="G31" i="1"/>
  <c r="G21" i="3" s="1"/>
  <c r="H31" i="1"/>
  <c r="H21" i="3" s="1"/>
  <c r="I31" i="1"/>
  <c r="I21" i="3" s="1"/>
  <c r="J31" i="1"/>
  <c r="J21" i="3" s="1"/>
  <c r="K31" i="1"/>
  <c r="K21" i="3" s="1"/>
  <c r="L31" i="1"/>
  <c r="L21" i="3" s="1"/>
  <c r="M31" i="1"/>
  <c r="M21" i="3" s="1"/>
  <c r="N31" i="1"/>
  <c r="N21" i="3" s="1"/>
  <c r="O31" i="1"/>
  <c r="O21" i="3" s="1"/>
  <c r="P31" i="1"/>
  <c r="P21" i="3" s="1"/>
  <c r="H23" i="1"/>
  <c r="H24" i="1" s="1"/>
  <c r="J23" i="1"/>
  <c r="L23" i="1"/>
  <c r="N23" i="1"/>
  <c r="N24" i="1" s="1"/>
  <c r="N25" i="1" s="1"/>
  <c r="N19" i="3" s="1"/>
  <c r="P23" i="1"/>
  <c r="P24" i="1" s="1"/>
  <c r="P25" i="1" s="1"/>
  <c r="P19" i="3" s="1"/>
  <c r="G23" i="1"/>
  <c r="H17" i="3"/>
  <c r="I17" i="3"/>
  <c r="J17" i="3"/>
  <c r="K17" i="3"/>
  <c r="L17" i="3"/>
  <c r="M23" i="1"/>
  <c r="N17" i="3"/>
  <c r="O17" i="3"/>
  <c r="P17" i="3"/>
  <c r="F17" i="3"/>
  <c r="Q33" i="1" l="1"/>
  <c r="Q19" i="3"/>
  <c r="Q23" i="3" s="1"/>
  <c r="Q29" i="3" s="1"/>
  <c r="F36" i="3"/>
  <c r="F37" i="3" s="1"/>
  <c r="M24" i="1"/>
  <c r="M25" i="1" s="1"/>
  <c r="M33" i="1" s="1"/>
  <c r="G24" i="1"/>
  <c r="G25" i="1"/>
  <c r="G19" i="3" s="1"/>
  <c r="H15" i="3"/>
  <c r="M17" i="3"/>
  <c r="G17" i="3"/>
  <c r="L24" i="1"/>
  <c r="L25" i="1" s="1"/>
  <c r="F23" i="1"/>
  <c r="F24" i="1" s="1"/>
  <c r="K23" i="1"/>
  <c r="K24" i="1" s="1"/>
  <c r="K25" i="1" s="1"/>
  <c r="K33" i="1" s="1"/>
  <c r="H25" i="1"/>
  <c r="H19" i="3" s="1"/>
  <c r="J24" i="1"/>
  <c r="J25" i="1" s="1"/>
  <c r="O23" i="1"/>
  <c r="I23" i="1"/>
  <c r="N33" i="1"/>
  <c r="N23" i="3"/>
  <c r="N29" i="3" s="1"/>
  <c r="H33" i="1" l="1"/>
  <c r="H23" i="3"/>
  <c r="H29" i="3" s="1"/>
  <c r="G33" i="1"/>
  <c r="M19" i="3"/>
  <c r="M23" i="3" s="1"/>
  <c r="M29" i="3" s="1"/>
  <c r="G23" i="3"/>
  <c r="G29" i="3" s="1"/>
  <c r="K19" i="3"/>
  <c r="K23" i="3" s="1"/>
  <c r="K29" i="3" s="1"/>
  <c r="L33" i="1"/>
  <c r="L19" i="3"/>
  <c r="L23" i="3" s="1"/>
  <c r="L29" i="3" s="1"/>
  <c r="J19" i="3"/>
  <c r="J23" i="3" s="1"/>
  <c r="J29" i="3" s="1"/>
  <c r="J33" i="1"/>
  <c r="I24" i="1"/>
  <c r="I25" i="1" s="1"/>
  <c r="O24" i="1"/>
  <c r="O25" i="1" s="1"/>
  <c r="I19" i="3" l="1"/>
  <c r="I23" i="3" s="1"/>
  <c r="I29" i="3" s="1"/>
  <c r="I33" i="1"/>
  <c r="O33" i="1"/>
  <c r="O19" i="3"/>
  <c r="O23" i="3" s="1"/>
  <c r="O29" i="3" s="1"/>
  <c r="F25" i="1"/>
  <c r="F19" i="3" l="1"/>
  <c r="F31" i="1"/>
  <c r="F21" i="3" s="1"/>
  <c r="F33" i="1" l="1"/>
  <c r="F23" i="3"/>
  <c r="F29" i="3" s="1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7" i="1"/>
  <c r="P10" i="1" s="1"/>
  <c r="P33" i="1" l="1"/>
  <c r="P15" i="3"/>
  <c r="P23" i="3" s="1"/>
  <c r="P29" i="3" s="1"/>
  <c r="P31" i="3" s="1"/>
  <c r="Q31" i="3" s="1"/>
</calcChain>
</file>

<file path=xl/sharedStrings.xml><?xml version="1.0" encoding="utf-8"?>
<sst xmlns="http://schemas.openxmlformats.org/spreadsheetml/2006/main" count="50" uniqueCount="47">
  <si>
    <t>T&amp;RA</t>
  </si>
  <si>
    <t>OPERATING CASH FLOW - ignoring inflation</t>
  </si>
  <si>
    <t xml:space="preserve">     Year 1</t>
  </si>
  <si>
    <t xml:space="preserve">     Total Membership Income - £000</t>
  </si>
  <si>
    <t>2. Court Fees</t>
  </si>
  <si>
    <t xml:space="preserve">     Court usage % based on 15 hour day, 360 days pa</t>
  </si>
  <si>
    <t xml:space="preserve">     Total Court Fee Income - £000</t>
  </si>
  <si>
    <t xml:space="preserve">     Income for account of professionals</t>
  </si>
  <si>
    <t xml:space="preserve">     Total Staff Costs</t>
  </si>
  <si>
    <t>5. Materials, Maintenance, Marketing, etc.</t>
  </si>
  <si>
    <t xml:space="preserve">     Ball cloth</t>
  </si>
  <si>
    <t xml:space="preserve">     Maintenance - lighting, cleaning, etc</t>
  </si>
  <si>
    <t xml:space="preserve">     Total</t>
  </si>
  <si>
    <t xml:space="preserve">     Net Operating Cash Flow</t>
  </si>
  <si>
    <t xml:space="preserve">     Basic salaries</t>
  </si>
  <si>
    <t xml:space="preserve">     Incentive @ 60% of court fees</t>
  </si>
  <si>
    <t>4. Staff Costs: Head Professional and Assistant</t>
  </si>
  <si>
    <t xml:space="preserve">     Salary supplement</t>
  </si>
  <si>
    <t>3. Lessons, Marking, etc.</t>
  </si>
  <si>
    <t xml:space="preserve">     Marketing - leaflets, introductory lessons, etc.</t>
  </si>
  <si>
    <t xml:space="preserve">    Year -1</t>
  </si>
  <si>
    <t>Grants and Donations</t>
  </si>
  <si>
    <t>Development Costs</t>
  </si>
  <si>
    <t>Operating Cash Flow</t>
  </si>
  <si>
    <t>Debenture Repayment</t>
  </si>
  <si>
    <t xml:space="preserve">     Cumulative</t>
  </si>
  <si>
    <t>NEW REAL TENNIS COURT PRO FORMA - based on Radley</t>
  </si>
  <si>
    <t xml:space="preserve">NEW REAL TENNIS COURT PRO FORMA </t>
  </si>
  <si>
    <t>Capital Cash Flow</t>
  </si>
  <si>
    <t>Membership subscription income</t>
  </si>
  <si>
    <t>Court fees income</t>
  </si>
  <si>
    <t>Staff costs</t>
  </si>
  <si>
    <t>Materials, Maintenance, Marketing, etc.</t>
  </si>
  <si>
    <t>Total</t>
  </si>
  <si>
    <t>Total Cash Flow</t>
  </si>
  <si>
    <t>CAPITAL, OPERATING AND TOTAL CASH FLOW - ignoring inflation</t>
  </si>
  <si>
    <t xml:space="preserve">     Number of Full members @ £300pa</t>
  </si>
  <si>
    <t xml:space="preserve">     Pension, NI, etc. @ 17% </t>
  </si>
  <si>
    <t>Bank Loan and Debentures</t>
  </si>
  <si>
    <t xml:space="preserve">Interest on Bank Loan and Debentures </t>
  </si>
  <si>
    <t xml:space="preserve">     Joining fee @ £300</t>
  </si>
  <si>
    <t xml:space="preserve">     £27.5 per hour on average</t>
  </si>
  <si>
    <t xml:space="preserve">     Number of Junior/Country members @ £75pa</t>
  </si>
  <si>
    <t xml:space="preserve">     Joining fee @ £75</t>
  </si>
  <si>
    <t>1. Membership Subscriptions, including gift aid where appropriate</t>
  </si>
  <si>
    <t xml:space="preserve"> </t>
  </si>
  <si>
    <t>Richard Dalzell,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</si>
</sst>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tabSelected="1" topLeftCell="A11" workbookViewId="0">
      <selection activeCell="E37" sqref="E37"/>
    </sheetView>
  </sheetViews>
  <sheetFormatPr defaultRowHeight="14.4" x14ac:dyDescent="0.3"/>
  <cols>
    <col min="6" max="6" width="9.5546875" bestFit="1" customWidth="1"/>
  </cols>
  <sheetData>
    <row r="1" spans="1:17" x14ac:dyDescent="0.3">
      <c r="A1" s="3" t="s">
        <v>0</v>
      </c>
      <c r="B1" s="3"/>
      <c r="C1" s="3"/>
      <c r="D1" s="3"/>
      <c r="E1" s="3"/>
      <c r="F1" s="3"/>
    </row>
    <row r="2" spans="1:17" x14ac:dyDescent="0.3">
      <c r="A2" s="3" t="s">
        <v>26</v>
      </c>
      <c r="B2" s="3"/>
      <c r="C2" s="3"/>
      <c r="D2" s="3"/>
      <c r="E2" s="3"/>
      <c r="F2" s="3"/>
    </row>
    <row r="3" spans="1:17" x14ac:dyDescent="0.3">
      <c r="A3" s="3" t="s">
        <v>1</v>
      </c>
      <c r="B3" s="3"/>
      <c r="C3" s="3"/>
      <c r="D3" s="3"/>
      <c r="E3" s="3"/>
      <c r="F3" s="3"/>
    </row>
    <row r="4" spans="1:17" x14ac:dyDescent="0.3">
      <c r="F4" t="s">
        <v>2</v>
      </c>
      <c r="G4">
        <v>2</v>
      </c>
      <c r="H4">
        <v>3</v>
      </c>
      <c r="I4">
        <v>4</v>
      </c>
      <c r="J4">
        <v>5</v>
      </c>
      <c r="K4">
        <v>6</v>
      </c>
      <c r="L4">
        <v>7</v>
      </c>
      <c r="M4">
        <v>8</v>
      </c>
      <c r="N4">
        <v>9</v>
      </c>
      <c r="O4">
        <v>10</v>
      </c>
      <c r="P4">
        <v>11</v>
      </c>
      <c r="Q4">
        <v>12</v>
      </c>
    </row>
    <row r="5" spans="1:17" x14ac:dyDescent="0.3">
      <c r="A5" t="s">
        <v>44</v>
      </c>
    </row>
    <row r="6" spans="1:17" x14ac:dyDescent="0.3">
      <c r="A6" s="8" t="s">
        <v>36</v>
      </c>
      <c r="F6" s="1">
        <v>25</v>
      </c>
      <c r="G6" s="1">
        <v>50</v>
      </c>
      <c r="H6" s="1">
        <v>75</v>
      </c>
      <c r="I6" s="1">
        <v>100</v>
      </c>
      <c r="J6" s="1">
        <v>125</v>
      </c>
      <c r="K6" s="1">
        <v>125</v>
      </c>
      <c r="L6" s="1">
        <v>125</v>
      </c>
      <c r="M6" s="1">
        <v>125</v>
      </c>
      <c r="N6" s="1">
        <v>125</v>
      </c>
      <c r="O6" s="1">
        <v>125</v>
      </c>
      <c r="P6" s="1">
        <v>125</v>
      </c>
      <c r="Q6" s="1">
        <v>125</v>
      </c>
    </row>
    <row r="7" spans="1:17" x14ac:dyDescent="0.3">
      <c r="A7" s="9" t="s">
        <v>40</v>
      </c>
      <c r="F7" s="1">
        <f>F6</f>
        <v>25</v>
      </c>
      <c r="G7" s="1">
        <f>G6-F6</f>
        <v>25</v>
      </c>
      <c r="H7" s="1">
        <f>H6-G6</f>
        <v>25</v>
      </c>
      <c r="I7" s="1">
        <f>I6-H6</f>
        <v>25</v>
      </c>
      <c r="J7" s="1">
        <f>J6-I6</f>
        <v>25</v>
      </c>
      <c r="K7" s="1">
        <f t="shared" ref="K7:Q7" si="0">K6*10%</f>
        <v>12.5</v>
      </c>
      <c r="L7" s="1">
        <f t="shared" si="0"/>
        <v>12.5</v>
      </c>
      <c r="M7" s="1">
        <f t="shared" si="0"/>
        <v>12.5</v>
      </c>
      <c r="N7" s="1">
        <f t="shared" si="0"/>
        <v>12.5</v>
      </c>
      <c r="O7" s="1">
        <f t="shared" si="0"/>
        <v>12.5</v>
      </c>
      <c r="P7" s="1">
        <f t="shared" si="0"/>
        <v>12.5</v>
      </c>
      <c r="Q7" s="1">
        <f t="shared" si="0"/>
        <v>12.5</v>
      </c>
    </row>
    <row r="8" spans="1:17" x14ac:dyDescent="0.3">
      <c r="A8" t="s">
        <v>42</v>
      </c>
      <c r="F8" s="1">
        <v>10</v>
      </c>
      <c r="G8" s="1">
        <v>20</v>
      </c>
      <c r="H8" s="1">
        <v>30</v>
      </c>
      <c r="I8" s="1">
        <v>40</v>
      </c>
      <c r="J8" s="1">
        <v>50</v>
      </c>
      <c r="K8" s="1">
        <v>75</v>
      </c>
      <c r="L8" s="1">
        <v>75</v>
      </c>
      <c r="M8" s="1">
        <v>75</v>
      </c>
      <c r="N8" s="1">
        <v>75</v>
      </c>
      <c r="O8" s="1">
        <v>75</v>
      </c>
      <c r="P8" s="1">
        <v>75</v>
      </c>
      <c r="Q8" s="1">
        <v>75</v>
      </c>
    </row>
    <row r="9" spans="1:17" x14ac:dyDescent="0.3">
      <c r="A9" t="s">
        <v>43</v>
      </c>
      <c r="F9" s="1">
        <f>F8</f>
        <v>10</v>
      </c>
      <c r="G9" s="1">
        <f>G8-F8</f>
        <v>10</v>
      </c>
      <c r="H9" s="1">
        <f>H8-G8</f>
        <v>10</v>
      </c>
      <c r="I9" s="1">
        <f>I8-H8</f>
        <v>10</v>
      </c>
      <c r="J9" s="1">
        <f>J8-I8</f>
        <v>10</v>
      </c>
      <c r="K9" s="1">
        <f>K8*10%</f>
        <v>7.5</v>
      </c>
      <c r="L9" s="1">
        <f t="shared" ref="L9:Q9" si="1">L8*10%</f>
        <v>7.5</v>
      </c>
      <c r="M9" s="1">
        <f t="shared" si="1"/>
        <v>7.5</v>
      </c>
      <c r="N9" s="1">
        <f t="shared" si="1"/>
        <v>7.5</v>
      </c>
      <c r="O9" s="1">
        <f t="shared" si="1"/>
        <v>7.5</v>
      </c>
      <c r="P9" s="1">
        <f t="shared" si="1"/>
        <v>7.5</v>
      </c>
      <c r="Q9" s="1">
        <f t="shared" si="1"/>
        <v>7.5</v>
      </c>
    </row>
    <row r="10" spans="1:17" x14ac:dyDescent="0.3">
      <c r="A10" t="s">
        <v>3</v>
      </c>
      <c r="F10" s="2">
        <f>((F6*300+F8*75+F9*75)/1000+F7*300/1000)*1.2</f>
        <v>19.8</v>
      </c>
      <c r="G10" s="2">
        <f t="shared" ref="G10:Q10" si="2">((G6*300+G8*75+G9*75)/1000+G7*300/1000)*1.2</f>
        <v>29.7</v>
      </c>
      <c r="H10" s="2">
        <f t="shared" si="2"/>
        <v>39.6</v>
      </c>
      <c r="I10" s="2">
        <f t="shared" si="2"/>
        <v>49.5</v>
      </c>
      <c r="J10" s="2">
        <f t="shared" si="2"/>
        <v>59.4</v>
      </c>
      <c r="K10" s="2">
        <f t="shared" si="2"/>
        <v>56.924999999999997</v>
      </c>
      <c r="L10" s="2">
        <f t="shared" si="2"/>
        <v>56.924999999999997</v>
      </c>
      <c r="M10" s="2">
        <f t="shared" si="2"/>
        <v>56.924999999999997</v>
      </c>
      <c r="N10" s="2">
        <f t="shared" si="2"/>
        <v>56.924999999999997</v>
      </c>
      <c r="O10" s="2">
        <f t="shared" si="2"/>
        <v>56.924999999999997</v>
      </c>
      <c r="P10" s="2">
        <f t="shared" si="2"/>
        <v>56.924999999999997</v>
      </c>
      <c r="Q10" s="2">
        <f t="shared" si="2"/>
        <v>56.924999999999997</v>
      </c>
    </row>
    <row r="11" spans="1:17" x14ac:dyDescent="0.3">
      <c r="G11" s="2"/>
      <c r="H11" s="2"/>
      <c r="I11" s="2"/>
      <c r="J11" s="2"/>
      <c r="K11" s="2"/>
      <c r="L11" s="2"/>
      <c r="M11" s="2"/>
      <c r="N11" s="2"/>
      <c r="O11" s="2"/>
    </row>
    <row r="12" spans="1:17" x14ac:dyDescent="0.3">
      <c r="A12" t="s">
        <v>4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7" x14ac:dyDescent="0.3">
      <c r="A13" t="s">
        <v>41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7" x14ac:dyDescent="0.3">
      <c r="A14" t="s">
        <v>5</v>
      </c>
      <c r="F14" s="7">
        <v>0.25</v>
      </c>
      <c r="G14" s="7">
        <v>0.6</v>
      </c>
      <c r="H14" s="7">
        <v>0.7</v>
      </c>
      <c r="I14" s="7">
        <v>0.75</v>
      </c>
      <c r="J14" s="7">
        <v>0.75</v>
      </c>
      <c r="K14" s="7">
        <v>0.75</v>
      </c>
      <c r="L14" s="7">
        <v>0.75</v>
      </c>
      <c r="M14" s="7">
        <v>0.75</v>
      </c>
      <c r="N14" s="7">
        <v>0.75</v>
      </c>
      <c r="O14" s="7">
        <v>0.75</v>
      </c>
      <c r="P14" s="7">
        <v>0.75</v>
      </c>
      <c r="Q14" s="7">
        <v>0.75</v>
      </c>
    </row>
    <row r="15" spans="1:17" x14ac:dyDescent="0.3">
      <c r="A15" t="s">
        <v>6</v>
      </c>
      <c r="F15" s="2">
        <f>27.5*15*360*F14/1000</f>
        <v>37.125</v>
      </c>
      <c r="G15" s="2">
        <f t="shared" ref="G15:Q15" si="3">27.5*15*360*G14/1000</f>
        <v>89.1</v>
      </c>
      <c r="H15" s="2">
        <f t="shared" si="3"/>
        <v>103.95</v>
      </c>
      <c r="I15" s="2">
        <f t="shared" si="3"/>
        <v>111.375</v>
      </c>
      <c r="J15" s="2">
        <f t="shared" si="3"/>
        <v>111.375</v>
      </c>
      <c r="K15" s="2">
        <f t="shared" si="3"/>
        <v>111.375</v>
      </c>
      <c r="L15" s="2">
        <f t="shared" si="3"/>
        <v>111.375</v>
      </c>
      <c r="M15" s="2">
        <f t="shared" si="3"/>
        <v>111.375</v>
      </c>
      <c r="N15" s="2">
        <f t="shared" si="3"/>
        <v>111.375</v>
      </c>
      <c r="O15" s="2">
        <f t="shared" si="3"/>
        <v>111.375</v>
      </c>
      <c r="P15" s="2">
        <f t="shared" si="3"/>
        <v>111.375</v>
      </c>
      <c r="Q15" s="2">
        <f t="shared" si="3"/>
        <v>111.375</v>
      </c>
    </row>
    <row r="16" spans="1:17" x14ac:dyDescent="0.3">
      <c r="G16" s="2"/>
      <c r="H16" s="2"/>
      <c r="I16" s="2"/>
      <c r="J16" s="2"/>
      <c r="K16" s="2"/>
      <c r="L16" s="2"/>
      <c r="M16" s="2"/>
      <c r="N16" s="2"/>
      <c r="O16" s="2"/>
    </row>
    <row r="17" spans="1:17" x14ac:dyDescent="0.3">
      <c r="A17" t="s">
        <v>18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7" x14ac:dyDescent="0.3">
      <c r="A18" t="s">
        <v>7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7" x14ac:dyDescent="0.3"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7" x14ac:dyDescent="0.3">
      <c r="A20" t="s">
        <v>16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7" x14ac:dyDescent="0.3">
      <c r="A21" t="s">
        <v>14</v>
      </c>
      <c r="F21" s="2">
        <v>25</v>
      </c>
      <c r="G21" s="2">
        <v>25</v>
      </c>
      <c r="H21" s="2">
        <v>25</v>
      </c>
      <c r="I21" s="2">
        <v>25</v>
      </c>
      <c r="J21" s="2">
        <v>25</v>
      </c>
      <c r="K21" s="2">
        <v>25</v>
      </c>
      <c r="L21" s="2">
        <v>25</v>
      </c>
      <c r="M21" s="2">
        <v>25</v>
      </c>
      <c r="N21" s="2">
        <v>25</v>
      </c>
      <c r="O21" s="2">
        <v>25</v>
      </c>
      <c r="P21" s="2">
        <v>25</v>
      </c>
      <c r="Q21" s="2">
        <v>25</v>
      </c>
    </row>
    <row r="22" spans="1:17" x14ac:dyDescent="0.3">
      <c r="A22" t="s">
        <v>17</v>
      </c>
      <c r="F22" s="2">
        <v>10</v>
      </c>
      <c r="G22" s="2"/>
      <c r="H22" s="2"/>
      <c r="I22" s="2"/>
      <c r="J22" s="2"/>
      <c r="K22" s="2"/>
      <c r="L22" s="2"/>
      <c r="M22" s="2"/>
      <c r="N22" s="2"/>
      <c r="O22" s="2"/>
    </row>
    <row r="23" spans="1:17" x14ac:dyDescent="0.3">
      <c r="A23" t="s">
        <v>15</v>
      </c>
      <c r="F23" s="2">
        <f>F15*60%</f>
        <v>22.274999999999999</v>
      </c>
      <c r="G23" s="2">
        <f t="shared" ref="G23:P23" si="4">G15*60%</f>
        <v>53.459999999999994</v>
      </c>
      <c r="H23" s="2">
        <f t="shared" si="4"/>
        <v>62.37</v>
      </c>
      <c r="I23" s="2">
        <f t="shared" si="4"/>
        <v>66.825000000000003</v>
      </c>
      <c r="J23" s="2">
        <f t="shared" si="4"/>
        <v>66.825000000000003</v>
      </c>
      <c r="K23" s="2">
        <f t="shared" si="4"/>
        <v>66.825000000000003</v>
      </c>
      <c r="L23" s="2">
        <f t="shared" si="4"/>
        <v>66.825000000000003</v>
      </c>
      <c r="M23" s="2">
        <f t="shared" si="4"/>
        <v>66.825000000000003</v>
      </c>
      <c r="N23" s="2">
        <f t="shared" si="4"/>
        <v>66.825000000000003</v>
      </c>
      <c r="O23" s="2">
        <f t="shared" si="4"/>
        <v>66.825000000000003</v>
      </c>
      <c r="P23" s="2">
        <f t="shared" si="4"/>
        <v>66.825000000000003</v>
      </c>
      <c r="Q23" s="2">
        <f>Q15*60%</f>
        <v>66.825000000000003</v>
      </c>
    </row>
    <row r="24" spans="1:17" x14ac:dyDescent="0.3">
      <c r="A24" t="s">
        <v>37</v>
      </c>
      <c r="F24" s="2">
        <f>SUM(F21:F23)*17%</f>
        <v>9.7367500000000007</v>
      </c>
      <c r="G24" s="2">
        <f t="shared" ref="G24:P24" si="5">SUM(G21:G23)*17%</f>
        <v>13.338200000000001</v>
      </c>
      <c r="H24" s="2">
        <f t="shared" si="5"/>
        <v>14.852900000000002</v>
      </c>
      <c r="I24" s="2">
        <f t="shared" si="5"/>
        <v>15.610250000000002</v>
      </c>
      <c r="J24" s="2">
        <f t="shared" si="5"/>
        <v>15.610250000000002</v>
      </c>
      <c r="K24" s="2">
        <f t="shared" si="5"/>
        <v>15.610250000000002</v>
      </c>
      <c r="L24" s="2">
        <f t="shared" si="5"/>
        <v>15.610250000000002</v>
      </c>
      <c r="M24" s="2">
        <f t="shared" si="5"/>
        <v>15.610250000000002</v>
      </c>
      <c r="N24" s="2">
        <f t="shared" si="5"/>
        <v>15.610250000000002</v>
      </c>
      <c r="O24" s="2">
        <f t="shared" si="5"/>
        <v>15.610250000000002</v>
      </c>
      <c r="P24" s="2">
        <f t="shared" si="5"/>
        <v>15.610250000000002</v>
      </c>
      <c r="Q24" s="2">
        <f>SUM(Q21:Q23)*17%</f>
        <v>15.610250000000002</v>
      </c>
    </row>
    <row r="25" spans="1:17" x14ac:dyDescent="0.3">
      <c r="A25" t="s">
        <v>8</v>
      </c>
      <c r="F25" s="2">
        <f t="shared" ref="F25:P25" si="6">SUM(F21:F24)</f>
        <v>67.011750000000006</v>
      </c>
      <c r="G25" s="2">
        <f t="shared" si="6"/>
        <v>91.798199999999994</v>
      </c>
      <c r="H25" s="2">
        <f t="shared" si="6"/>
        <v>102.22290000000001</v>
      </c>
      <c r="I25" s="2">
        <f t="shared" si="6"/>
        <v>107.43525000000001</v>
      </c>
      <c r="J25" s="2">
        <f t="shared" si="6"/>
        <v>107.43525000000001</v>
      </c>
      <c r="K25" s="2">
        <f t="shared" si="6"/>
        <v>107.43525000000001</v>
      </c>
      <c r="L25" s="2">
        <f t="shared" si="6"/>
        <v>107.43525000000001</v>
      </c>
      <c r="M25" s="2">
        <f t="shared" si="6"/>
        <v>107.43525000000001</v>
      </c>
      <c r="N25" s="2">
        <f t="shared" si="6"/>
        <v>107.43525000000001</v>
      </c>
      <c r="O25" s="2">
        <f t="shared" si="6"/>
        <v>107.43525000000001</v>
      </c>
      <c r="P25" s="2">
        <f t="shared" si="6"/>
        <v>107.43525000000001</v>
      </c>
      <c r="Q25" s="2">
        <f>SUM(Q21:Q24)</f>
        <v>107.43525000000001</v>
      </c>
    </row>
    <row r="26" spans="1:17" x14ac:dyDescent="0.3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3">
      <c r="A27" t="s">
        <v>9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3">
      <c r="A28" t="s">
        <v>10</v>
      </c>
      <c r="F28" s="2">
        <v>2.5</v>
      </c>
      <c r="G28" s="2">
        <v>2.5</v>
      </c>
      <c r="H28" s="2">
        <v>2.5</v>
      </c>
      <c r="I28" s="2">
        <v>2.5</v>
      </c>
      <c r="J28" s="2">
        <v>2.5</v>
      </c>
      <c r="K28" s="2">
        <v>2.5</v>
      </c>
      <c r="L28" s="2">
        <v>2.5</v>
      </c>
      <c r="M28" s="2">
        <v>2.5</v>
      </c>
      <c r="N28" s="2">
        <v>2.5</v>
      </c>
      <c r="O28" s="2">
        <v>2.5</v>
      </c>
      <c r="P28" s="2">
        <v>2.5</v>
      </c>
      <c r="Q28" s="2">
        <v>2.5</v>
      </c>
    </row>
    <row r="29" spans="1:17" x14ac:dyDescent="0.3">
      <c r="A29" t="s">
        <v>11</v>
      </c>
      <c r="F29" s="2">
        <v>7.5</v>
      </c>
      <c r="G29" s="2">
        <v>7.5</v>
      </c>
      <c r="H29" s="2">
        <v>7.5</v>
      </c>
      <c r="I29" s="2">
        <v>7.5</v>
      </c>
      <c r="J29" s="2">
        <v>7.5</v>
      </c>
      <c r="K29" s="2">
        <v>7.5</v>
      </c>
      <c r="L29" s="2">
        <v>7.5</v>
      </c>
      <c r="M29" s="2">
        <v>7.5</v>
      </c>
      <c r="N29" s="2">
        <v>7.5</v>
      </c>
      <c r="O29" s="2">
        <v>7.5</v>
      </c>
      <c r="P29" s="2">
        <v>7.5</v>
      </c>
      <c r="Q29" s="2">
        <v>7.5</v>
      </c>
    </row>
    <row r="30" spans="1:17" x14ac:dyDescent="0.3">
      <c r="A30" s="2" t="s">
        <v>19</v>
      </c>
      <c r="B30" s="2"/>
      <c r="C30" s="2"/>
      <c r="D30" s="2"/>
      <c r="E30" s="2"/>
      <c r="F30" s="2">
        <v>2.5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0.5</v>
      </c>
      <c r="M30" s="2">
        <v>0.5</v>
      </c>
      <c r="N30" s="2">
        <v>0.5</v>
      </c>
      <c r="O30" s="2">
        <v>0.5</v>
      </c>
      <c r="P30" s="2">
        <v>0.5</v>
      </c>
      <c r="Q30" s="2">
        <v>0.5</v>
      </c>
    </row>
    <row r="31" spans="1:17" x14ac:dyDescent="0.3">
      <c r="A31" s="2" t="s">
        <v>12</v>
      </c>
      <c r="B31" s="2"/>
      <c r="C31" s="2"/>
      <c r="D31" s="2"/>
      <c r="E31" s="2"/>
      <c r="F31" s="2">
        <f t="shared" ref="F31:P31" si="7">SUM(F28:F30)</f>
        <v>12.5</v>
      </c>
      <c r="G31" s="2">
        <f t="shared" si="7"/>
        <v>11</v>
      </c>
      <c r="H31" s="2">
        <f t="shared" si="7"/>
        <v>11</v>
      </c>
      <c r="I31" s="2">
        <f t="shared" si="7"/>
        <v>11</v>
      </c>
      <c r="J31" s="2">
        <f t="shared" si="7"/>
        <v>11</v>
      </c>
      <c r="K31" s="2">
        <f t="shared" si="7"/>
        <v>11</v>
      </c>
      <c r="L31" s="2">
        <f t="shared" si="7"/>
        <v>10.5</v>
      </c>
      <c r="M31" s="2">
        <f t="shared" si="7"/>
        <v>10.5</v>
      </c>
      <c r="N31" s="2">
        <f t="shared" si="7"/>
        <v>10.5</v>
      </c>
      <c r="O31" s="2">
        <f t="shared" si="7"/>
        <v>10.5</v>
      </c>
      <c r="P31" s="2">
        <f t="shared" si="7"/>
        <v>10.5</v>
      </c>
      <c r="Q31" s="2">
        <f>SUM(Q28:Q30)</f>
        <v>10.5</v>
      </c>
    </row>
    <row r="32" spans="1:17" x14ac:dyDescent="0.3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7" x14ac:dyDescent="0.3">
      <c r="A33" s="2" t="s">
        <v>13</v>
      </c>
      <c r="F33" s="2">
        <f>F10+F15-F25-F31</f>
        <v>-22.586750000000009</v>
      </c>
      <c r="G33" s="2">
        <f t="shared" ref="G33:P33" si="8">G10+G15-G25-G31</f>
        <v>16.001800000000003</v>
      </c>
      <c r="H33" s="2">
        <f t="shared" si="8"/>
        <v>30.327100000000002</v>
      </c>
      <c r="I33" s="2">
        <f t="shared" si="8"/>
        <v>42.439749999999989</v>
      </c>
      <c r="J33" s="2">
        <f t="shared" si="8"/>
        <v>52.339749999999995</v>
      </c>
      <c r="K33" s="2">
        <f t="shared" si="8"/>
        <v>49.864750000000001</v>
      </c>
      <c r="L33" s="2">
        <f t="shared" si="8"/>
        <v>50.364750000000001</v>
      </c>
      <c r="M33" s="2">
        <f t="shared" si="8"/>
        <v>50.364750000000001</v>
      </c>
      <c r="N33" s="2">
        <f t="shared" si="8"/>
        <v>50.364750000000001</v>
      </c>
      <c r="O33" s="2">
        <f t="shared" si="8"/>
        <v>50.364750000000001</v>
      </c>
      <c r="P33" s="2">
        <f t="shared" si="8"/>
        <v>50.364750000000001</v>
      </c>
      <c r="Q33" s="2">
        <f>Q10+Q15-Q25-Q31</f>
        <v>50.364750000000001</v>
      </c>
    </row>
    <row r="34" spans="1:17" x14ac:dyDescent="0.3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7" x14ac:dyDescent="0.3">
      <c r="A35" t="s">
        <v>46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710A-9842-4119-87C2-353833467877}">
  <sheetPr>
    <pageSetUpPr fitToPage="1"/>
  </sheetPr>
  <dimension ref="A1:X37"/>
  <sheetViews>
    <sheetView topLeftCell="A11" workbookViewId="0">
      <selection activeCell="K35" sqref="K35"/>
    </sheetView>
  </sheetViews>
  <sheetFormatPr defaultRowHeight="14.4" x14ac:dyDescent="0.3"/>
  <cols>
    <col min="6" max="6" width="8.5546875" bestFit="1" customWidth="1"/>
  </cols>
  <sheetData>
    <row r="1" spans="1:17" x14ac:dyDescent="0.3">
      <c r="A1" s="3" t="s">
        <v>0</v>
      </c>
      <c r="B1" s="3"/>
      <c r="C1" s="3"/>
      <c r="D1" s="3"/>
      <c r="E1" s="3"/>
    </row>
    <row r="2" spans="1:17" x14ac:dyDescent="0.3">
      <c r="A2" s="3" t="s">
        <v>27</v>
      </c>
      <c r="B2" s="3"/>
      <c r="C2" s="3"/>
      <c r="D2" s="3"/>
      <c r="E2" s="3"/>
    </row>
    <row r="3" spans="1:17" x14ac:dyDescent="0.3">
      <c r="A3" s="3" t="s">
        <v>35</v>
      </c>
      <c r="B3" s="3"/>
      <c r="C3" s="3"/>
      <c r="D3" s="3"/>
      <c r="E3" s="3"/>
    </row>
    <row r="4" spans="1:17" x14ac:dyDescent="0.3">
      <c r="D4" t="s">
        <v>20</v>
      </c>
      <c r="E4">
        <v>0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  <c r="L4">
        <v>7</v>
      </c>
      <c r="M4">
        <v>8</v>
      </c>
      <c r="N4">
        <v>9</v>
      </c>
      <c r="O4">
        <v>10</v>
      </c>
      <c r="P4">
        <v>11</v>
      </c>
      <c r="Q4">
        <v>12</v>
      </c>
    </row>
    <row r="5" spans="1:17" x14ac:dyDescent="0.3">
      <c r="A5" s="3" t="s">
        <v>28</v>
      </c>
    </row>
    <row r="6" spans="1:17" x14ac:dyDescent="0.3">
      <c r="A6" t="s">
        <v>21</v>
      </c>
      <c r="D6" s="2">
        <v>350</v>
      </c>
      <c r="E6" s="2">
        <v>350</v>
      </c>
      <c r="F6" s="2">
        <v>250</v>
      </c>
      <c r="G6" s="2"/>
      <c r="H6" s="2"/>
      <c r="I6" s="2"/>
      <c r="J6" s="2"/>
      <c r="K6" s="2"/>
      <c r="L6" s="2"/>
      <c r="M6" s="2"/>
      <c r="N6" s="2"/>
    </row>
    <row r="7" spans="1:17" x14ac:dyDescent="0.3"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x14ac:dyDescent="0.3">
      <c r="A8" t="s">
        <v>38</v>
      </c>
      <c r="D8" s="2">
        <v>125</v>
      </c>
      <c r="E8" s="2">
        <v>200</v>
      </c>
      <c r="F8" s="2">
        <v>75</v>
      </c>
      <c r="G8" s="2"/>
      <c r="H8" s="2"/>
      <c r="I8" s="2"/>
      <c r="J8" s="2"/>
      <c r="K8" s="2"/>
      <c r="L8" s="2"/>
      <c r="M8" s="2"/>
      <c r="N8" s="2"/>
    </row>
    <row r="9" spans="1:17" x14ac:dyDescent="0.3"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7" x14ac:dyDescent="0.3">
      <c r="A10" t="s">
        <v>22</v>
      </c>
      <c r="D10" s="2">
        <v>-500</v>
      </c>
      <c r="E10" s="2">
        <v>-600</v>
      </c>
      <c r="F10" s="2">
        <v>-250</v>
      </c>
      <c r="G10" s="2"/>
      <c r="H10" s="2"/>
      <c r="I10" s="2"/>
      <c r="J10" s="2"/>
      <c r="K10" s="2"/>
      <c r="L10" s="2"/>
      <c r="M10" s="2"/>
      <c r="N10" s="2"/>
    </row>
    <row r="11" spans="1:17" x14ac:dyDescent="0.3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7" s="3" customFormat="1" x14ac:dyDescent="0.3">
      <c r="A12" s="3" t="s">
        <v>33</v>
      </c>
      <c r="D12" s="4">
        <f>SUM(D6,D8,D10)</f>
        <v>-25</v>
      </c>
      <c r="E12" s="4">
        <f>SUM(E6,E8,E10)</f>
        <v>-50</v>
      </c>
      <c r="F12" s="4">
        <f>SUM(F6,F8,F10)</f>
        <v>75</v>
      </c>
      <c r="G12" s="4"/>
      <c r="H12" s="4"/>
      <c r="I12" s="4"/>
      <c r="J12" s="4"/>
      <c r="K12" s="4"/>
      <c r="L12" s="4"/>
      <c r="M12" s="4"/>
      <c r="N12" s="4"/>
    </row>
    <row r="13" spans="1:17" x14ac:dyDescent="0.3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7" x14ac:dyDescent="0.3">
      <c r="A14" s="3" t="s">
        <v>23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5" customFormat="1" x14ac:dyDescent="0.3">
      <c r="A15" s="5" t="s">
        <v>29</v>
      </c>
      <c r="D15" s="6"/>
      <c r="E15" s="6"/>
      <c r="F15" s="6">
        <f>'Op Cash'!F10</f>
        <v>19.8</v>
      </c>
      <c r="G15" s="6">
        <f>'Op Cash'!G10</f>
        <v>29.7</v>
      </c>
      <c r="H15" s="6">
        <f>'Op Cash'!H10</f>
        <v>39.6</v>
      </c>
      <c r="I15" s="6">
        <f>'Op Cash'!I10</f>
        <v>49.5</v>
      </c>
      <c r="J15" s="6">
        <f>'Op Cash'!J10</f>
        <v>59.4</v>
      </c>
      <c r="K15" s="6">
        <f>'Op Cash'!K10</f>
        <v>56.924999999999997</v>
      </c>
      <c r="L15" s="6">
        <f>'Op Cash'!L10</f>
        <v>56.924999999999997</v>
      </c>
      <c r="M15" s="6">
        <f>'Op Cash'!M10</f>
        <v>56.924999999999997</v>
      </c>
      <c r="N15" s="6">
        <f>'Op Cash'!N10</f>
        <v>56.924999999999997</v>
      </c>
      <c r="O15" s="6">
        <f>'Op Cash'!O10</f>
        <v>56.924999999999997</v>
      </c>
      <c r="P15" s="6">
        <f>'Op Cash'!P10</f>
        <v>56.924999999999997</v>
      </c>
      <c r="Q15" s="6">
        <f>'Op Cash'!Q10</f>
        <v>56.924999999999997</v>
      </c>
    </row>
    <row r="16" spans="1:17" x14ac:dyDescent="0.3">
      <c r="A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24" s="5" customFormat="1" x14ac:dyDescent="0.3">
      <c r="A17" s="5" t="s">
        <v>30</v>
      </c>
      <c r="D17" s="6"/>
      <c r="E17" s="6"/>
      <c r="F17" s="6">
        <f>'Op Cash'!F15</f>
        <v>37.125</v>
      </c>
      <c r="G17" s="6">
        <f>'Op Cash'!G15</f>
        <v>89.1</v>
      </c>
      <c r="H17" s="6">
        <f>'Op Cash'!H15</f>
        <v>103.95</v>
      </c>
      <c r="I17" s="6">
        <f>'Op Cash'!I15</f>
        <v>111.375</v>
      </c>
      <c r="J17" s="6">
        <f>'Op Cash'!J15</f>
        <v>111.375</v>
      </c>
      <c r="K17" s="6">
        <f>'Op Cash'!K15</f>
        <v>111.375</v>
      </c>
      <c r="L17" s="6">
        <f>'Op Cash'!L15</f>
        <v>111.375</v>
      </c>
      <c r="M17" s="6">
        <f>'Op Cash'!M15</f>
        <v>111.375</v>
      </c>
      <c r="N17" s="6">
        <f>'Op Cash'!N15</f>
        <v>111.375</v>
      </c>
      <c r="O17" s="6">
        <f>'Op Cash'!O15</f>
        <v>111.375</v>
      </c>
      <c r="P17" s="6">
        <f>'Op Cash'!P15</f>
        <v>111.375</v>
      </c>
      <c r="Q17" s="6">
        <f>'Op Cash'!Q15</f>
        <v>111.375</v>
      </c>
    </row>
    <row r="18" spans="1:24" x14ac:dyDescent="0.3">
      <c r="A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24" s="5" customFormat="1" x14ac:dyDescent="0.3">
      <c r="A19" s="5" t="s">
        <v>31</v>
      </c>
      <c r="D19" s="6"/>
      <c r="E19" s="6"/>
      <c r="F19" s="6">
        <f>'Op Cash'!F25*-1</f>
        <v>-67.011750000000006</v>
      </c>
      <c r="G19" s="6">
        <f>'Op Cash'!G25*-1</f>
        <v>-91.798199999999994</v>
      </c>
      <c r="H19" s="6">
        <f>'Op Cash'!H25*-1</f>
        <v>-102.22290000000001</v>
      </c>
      <c r="I19" s="6">
        <f>'Op Cash'!I25*-1</f>
        <v>-107.43525000000001</v>
      </c>
      <c r="J19" s="6">
        <f>'Op Cash'!J25*-1</f>
        <v>-107.43525000000001</v>
      </c>
      <c r="K19" s="6">
        <f>'Op Cash'!K25*-1</f>
        <v>-107.43525000000001</v>
      </c>
      <c r="L19" s="6">
        <f>'Op Cash'!L25*-1</f>
        <v>-107.43525000000001</v>
      </c>
      <c r="M19" s="6">
        <f>'Op Cash'!M25*-1</f>
        <v>-107.43525000000001</v>
      </c>
      <c r="N19" s="6">
        <f>'Op Cash'!N25*-1</f>
        <v>-107.43525000000001</v>
      </c>
      <c r="O19" s="6">
        <f>'Op Cash'!O25*-1</f>
        <v>-107.43525000000001</v>
      </c>
      <c r="P19" s="6">
        <f>'Op Cash'!P25*-1</f>
        <v>-107.43525000000001</v>
      </c>
      <c r="Q19" s="6">
        <f>'Op Cash'!Q25*-1</f>
        <v>-107.43525000000001</v>
      </c>
    </row>
    <row r="20" spans="1:24" x14ac:dyDescent="0.3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24" x14ac:dyDescent="0.3">
      <c r="A21" t="s">
        <v>32</v>
      </c>
      <c r="D21" s="2"/>
      <c r="E21" s="2"/>
      <c r="F21" s="2">
        <f>'Op Cash'!F31*-1</f>
        <v>-12.5</v>
      </c>
      <c r="G21" s="2">
        <f>'Op Cash'!G31*-1</f>
        <v>-11</v>
      </c>
      <c r="H21" s="2">
        <f>'Op Cash'!H31*-1</f>
        <v>-11</v>
      </c>
      <c r="I21" s="2">
        <f>'Op Cash'!I31*-1</f>
        <v>-11</v>
      </c>
      <c r="J21" s="2">
        <f>'Op Cash'!J31*-1</f>
        <v>-11</v>
      </c>
      <c r="K21" s="2">
        <f>'Op Cash'!K31*-1</f>
        <v>-11</v>
      </c>
      <c r="L21" s="2">
        <f>'Op Cash'!L31*-1</f>
        <v>-10.5</v>
      </c>
      <c r="M21" s="2">
        <f>'Op Cash'!M31*-1</f>
        <v>-10.5</v>
      </c>
      <c r="N21" s="2">
        <f>'Op Cash'!N31*-1</f>
        <v>-10.5</v>
      </c>
      <c r="O21" s="2">
        <f>'Op Cash'!O31*-1</f>
        <v>-10.5</v>
      </c>
      <c r="P21" s="2">
        <f>'Op Cash'!P31*-1</f>
        <v>-10.5</v>
      </c>
      <c r="Q21" s="2">
        <f>'Op Cash'!Q31*-1</f>
        <v>-10.5</v>
      </c>
      <c r="V21">
        <v>13.8</v>
      </c>
      <c r="W21">
        <f>V21*1.25%</f>
        <v>0.17250000000000001</v>
      </c>
      <c r="X21">
        <f>V21+W21</f>
        <v>13.9725</v>
      </c>
    </row>
    <row r="22" spans="1:24" x14ac:dyDescent="0.3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24" s="3" customFormat="1" x14ac:dyDescent="0.3">
      <c r="A23" s="3" t="s">
        <v>33</v>
      </c>
      <c r="D23" s="4"/>
      <c r="E23" s="4"/>
      <c r="F23" s="4">
        <f t="shared" ref="F23:P23" si="0">SUM(F15:F22)</f>
        <v>-22.586750000000009</v>
      </c>
      <c r="G23" s="4">
        <f t="shared" si="0"/>
        <v>16.001800000000003</v>
      </c>
      <c r="H23" s="4">
        <f t="shared" si="0"/>
        <v>30.327100000000002</v>
      </c>
      <c r="I23" s="4">
        <f t="shared" si="0"/>
        <v>42.439749999999989</v>
      </c>
      <c r="J23" s="4">
        <f t="shared" si="0"/>
        <v>52.339749999999995</v>
      </c>
      <c r="K23" s="4">
        <f t="shared" si="0"/>
        <v>49.864750000000001</v>
      </c>
      <c r="L23" s="4">
        <f t="shared" si="0"/>
        <v>50.364750000000001</v>
      </c>
      <c r="M23" s="4">
        <f t="shared" si="0"/>
        <v>50.364750000000001</v>
      </c>
      <c r="N23" s="4">
        <f t="shared" si="0"/>
        <v>50.364750000000001</v>
      </c>
      <c r="O23" s="4">
        <f t="shared" si="0"/>
        <v>50.364750000000001</v>
      </c>
      <c r="P23" s="4">
        <f t="shared" si="0"/>
        <v>50.364750000000001</v>
      </c>
      <c r="Q23" s="4">
        <f>SUM(Q15:Q22)</f>
        <v>50.364750000000001</v>
      </c>
    </row>
    <row r="24" spans="1:24" s="3" customFormat="1" x14ac:dyDescent="0.3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24" x14ac:dyDescent="0.3">
      <c r="A25" t="s">
        <v>39</v>
      </c>
      <c r="D25" s="2"/>
      <c r="E25" s="2">
        <v>-2.5</v>
      </c>
      <c r="F25" s="2">
        <v>-6.5</v>
      </c>
      <c r="G25" s="2">
        <v>-8</v>
      </c>
      <c r="H25" s="2">
        <v>-8</v>
      </c>
      <c r="I25" s="2">
        <v>-8</v>
      </c>
      <c r="J25" s="2">
        <v>-8</v>
      </c>
      <c r="K25" s="2">
        <v>-7.1</v>
      </c>
      <c r="L25" s="2">
        <v>-6.2</v>
      </c>
      <c r="M25" s="2">
        <v>-5.3</v>
      </c>
      <c r="N25" s="2">
        <v>-4.4000000000000004</v>
      </c>
      <c r="O25" s="2">
        <v>-3.5</v>
      </c>
      <c r="P25" s="2">
        <v>-2.6</v>
      </c>
      <c r="Q25" s="2">
        <v>-1.7</v>
      </c>
    </row>
    <row r="26" spans="1:24" x14ac:dyDescent="0.3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4" x14ac:dyDescent="0.3">
      <c r="A27" t="s">
        <v>24</v>
      </c>
      <c r="D27" s="2"/>
      <c r="E27" s="2"/>
      <c r="F27" s="2"/>
      <c r="G27" s="2"/>
      <c r="H27" s="2"/>
      <c r="I27" s="2"/>
      <c r="J27" s="2">
        <v>-45</v>
      </c>
      <c r="K27" s="2">
        <v>-45</v>
      </c>
      <c r="L27" s="2">
        <v>-45</v>
      </c>
      <c r="M27" s="2">
        <v>-45</v>
      </c>
      <c r="N27" s="2">
        <v>-45</v>
      </c>
      <c r="O27" s="2">
        <v>-45</v>
      </c>
      <c r="P27" s="2">
        <v>-45</v>
      </c>
      <c r="Q27" s="2">
        <v>-45</v>
      </c>
      <c r="S27" s="2"/>
    </row>
    <row r="28" spans="1:24" x14ac:dyDescent="0.3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24" s="3" customFormat="1" x14ac:dyDescent="0.3">
      <c r="A29" s="3" t="s">
        <v>34</v>
      </c>
      <c r="D29" s="4">
        <f>SUM(D12,D23,D25,D27)</f>
        <v>-25</v>
      </c>
      <c r="E29" s="4">
        <f t="shared" ref="E29:Q29" si="1">SUM(E12,E23,E25,E27)</f>
        <v>-52.5</v>
      </c>
      <c r="F29" s="4">
        <f t="shared" si="1"/>
        <v>45.913249999999991</v>
      </c>
      <c r="G29" s="4">
        <f>SUM(G12,G23,G25,G27)</f>
        <v>8.0018000000000029</v>
      </c>
      <c r="H29" s="4">
        <f t="shared" si="1"/>
        <v>22.327100000000002</v>
      </c>
      <c r="I29" s="4">
        <f t="shared" si="1"/>
        <v>34.439749999999989</v>
      </c>
      <c r="J29" s="4">
        <f t="shared" si="1"/>
        <v>-0.66025000000000489</v>
      </c>
      <c r="K29" s="4">
        <f t="shared" si="1"/>
        <v>-2.2352500000000006</v>
      </c>
      <c r="L29" s="4">
        <f t="shared" si="1"/>
        <v>-0.83525000000000205</v>
      </c>
      <c r="M29" s="4">
        <f t="shared" si="1"/>
        <v>6.4750000000003638E-2</v>
      </c>
      <c r="N29" s="4">
        <f t="shared" si="1"/>
        <v>0.96475000000000222</v>
      </c>
      <c r="O29" s="4">
        <f t="shared" si="1"/>
        <v>1.8647500000000008</v>
      </c>
      <c r="P29" s="4">
        <f t="shared" si="1"/>
        <v>2.7647499999999994</v>
      </c>
      <c r="Q29" s="4">
        <f t="shared" si="1"/>
        <v>3.664749999999998</v>
      </c>
    </row>
    <row r="30" spans="1:24" x14ac:dyDescent="0.3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24" s="3" customFormat="1" x14ac:dyDescent="0.3">
      <c r="A31" s="3" t="s">
        <v>25</v>
      </c>
      <c r="D31" s="4"/>
      <c r="E31" s="4">
        <f>SUM(D29,E29)</f>
        <v>-77.5</v>
      </c>
      <c r="F31" s="4">
        <f>SUM(E31,F29)</f>
        <v>-31.586750000000009</v>
      </c>
      <c r="G31" s="4">
        <f t="shared" ref="G31:Q31" si="2">SUM(F31,G29)</f>
        <v>-23.584950000000006</v>
      </c>
      <c r="H31" s="4">
        <f t="shared" si="2"/>
        <v>-1.2578500000000048</v>
      </c>
      <c r="I31" s="4">
        <f t="shared" si="2"/>
        <v>33.181899999999985</v>
      </c>
      <c r="J31" s="4">
        <f t="shared" si="2"/>
        <v>32.52164999999998</v>
      </c>
      <c r="K31" s="4">
        <f t="shared" si="2"/>
        <v>30.286399999999979</v>
      </c>
      <c r="L31" s="4">
        <f t="shared" si="2"/>
        <v>29.451149999999977</v>
      </c>
      <c r="M31" s="4">
        <f t="shared" si="2"/>
        <v>29.515899999999981</v>
      </c>
      <c r="N31" s="4">
        <f t="shared" si="2"/>
        <v>30.480649999999983</v>
      </c>
      <c r="O31" s="4">
        <f t="shared" si="2"/>
        <v>32.345399999999984</v>
      </c>
      <c r="P31" s="4">
        <f t="shared" si="2"/>
        <v>35.110149999999983</v>
      </c>
      <c r="Q31" s="4">
        <f t="shared" si="2"/>
        <v>38.774899999999981</v>
      </c>
    </row>
    <row r="32" spans="1:24" x14ac:dyDescent="0.3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2" x14ac:dyDescent="0.3">
      <c r="A33" t="s">
        <v>46</v>
      </c>
      <c r="L33" t="s">
        <v>45</v>
      </c>
    </row>
    <row r="34" spans="1:12" x14ac:dyDescent="0.3">
      <c r="F34">
        <v>1000000</v>
      </c>
    </row>
    <row r="35" spans="1:12" x14ac:dyDescent="0.3">
      <c r="F35" s="2">
        <f>1000000*12.5%</f>
        <v>125000</v>
      </c>
    </row>
    <row r="36" spans="1:12" x14ac:dyDescent="0.3">
      <c r="F36">
        <f>(F34+F35)*20%</f>
        <v>225000</v>
      </c>
    </row>
    <row r="37" spans="1:12" x14ac:dyDescent="0.3">
      <c r="F37">
        <f>SUM(F34:F36)</f>
        <v>1350000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 Cash</vt:lpstr>
      <vt:lpstr>Cap,Op,Total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cp:lastPrinted>2020-04-09T12:34:33Z</cp:lastPrinted>
  <dcterms:created xsi:type="dcterms:W3CDTF">2016-09-19T13:00:31Z</dcterms:created>
  <dcterms:modified xsi:type="dcterms:W3CDTF">2021-10-16T08:34:35Z</dcterms:modified>
</cp:coreProperties>
</file>